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25" windowWidth="11055" windowHeight="6300"/>
  </bookViews>
  <sheets>
    <sheet name="BALANCE SHEET" sheetId="1" r:id="rId1"/>
    <sheet name="INCOME STMT" sheetId="2" r:id="rId2"/>
    <sheet name="GRAPHS" sheetId="3" r:id="rId3"/>
  </sheets>
  <definedNames>
    <definedName name="BALANCE_SHEET">'BALANCE SHEET'!$A$2:$F$23</definedName>
    <definedName name="GRAPHS">GRAPHS!$A$1:$B$9</definedName>
    <definedName name="INCOME_STMT">'INCOME STMT'!$A$1:$E$25</definedName>
    <definedName name="_xlnm.Print_Area" localSheetId="0">'BALANCE SHEET'!$A$1:$G$27</definedName>
    <definedName name="_xlnm.Print_Area" localSheetId="2">GRAPHS!$A$1:$C$16</definedName>
    <definedName name="_xlnm.Print_Area" localSheetId="1">'INCOME STMT'!$A$1:$E$27</definedName>
    <definedName name="Print_Area_MI" localSheetId="2">GRAPHS!$C$1:$M$9</definedName>
  </definedNames>
  <calcPr calcId="145621"/>
</workbook>
</file>

<file path=xl/calcChain.xml><?xml version="1.0" encoding="utf-8"?>
<calcChain xmlns="http://schemas.openxmlformats.org/spreadsheetml/2006/main">
  <c r="B14" i="3" l="1"/>
  <c r="B15" i="2"/>
  <c r="B16" i="2"/>
  <c r="B20" i="2"/>
  <c r="B19" i="2"/>
  <c r="B18" i="2"/>
  <c r="B17" i="2"/>
  <c r="B14" i="2"/>
  <c r="B13" i="2"/>
  <c r="B21" i="2" s="1"/>
  <c r="B9" i="2"/>
  <c r="B8" i="2"/>
  <c r="B7" i="2"/>
  <c r="C20" i="2"/>
  <c r="C19" i="2"/>
  <c r="C18" i="2"/>
  <c r="C17" i="2"/>
  <c r="C16" i="2"/>
  <c r="C15" i="2"/>
  <c r="C14" i="2"/>
  <c r="C13" i="2"/>
  <c r="C21" i="2"/>
  <c r="C9" i="2"/>
  <c r="C8" i="2"/>
  <c r="C7" i="2"/>
  <c r="C10" i="2"/>
  <c r="B20" i="1"/>
  <c r="B19" i="1"/>
  <c r="B18" i="1"/>
  <c r="B17" i="1"/>
  <c r="B16" i="1"/>
  <c r="B15" i="1"/>
  <c r="B14" i="1"/>
  <c r="B12" i="1"/>
  <c r="B22" i="1" s="1"/>
  <c r="C20" i="1"/>
  <c r="C19" i="1"/>
  <c r="C18" i="1"/>
  <c r="C17" i="1"/>
  <c r="C16" i="1"/>
  <c r="C15" i="1"/>
  <c r="C14" i="1"/>
  <c r="C12" i="1"/>
  <c r="B13" i="3"/>
  <c r="B12" i="3"/>
  <c r="B11" i="3"/>
  <c r="B10" i="3"/>
  <c r="F20" i="1"/>
  <c r="F12" i="1"/>
  <c r="F13" i="1"/>
  <c r="F19" i="1" s="1"/>
  <c r="F14" i="1"/>
  <c r="F15" i="1"/>
  <c r="F16" i="1"/>
  <c r="F17" i="1"/>
  <c r="F18" i="1"/>
  <c r="D12" i="1"/>
  <c r="D22" i="1" s="1"/>
  <c r="D13" i="1"/>
  <c r="D14" i="1"/>
  <c r="D15" i="1"/>
  <c r="D16" i="1"/>
  <c r="D17" i="1"/>
  <c r="D18" i="1"/>
  <c r="D19" i="1"/>
  <c r="D20" i="1"/>
  <c r="D7" i="2"/>
  <c r="D8" i="2"/>
  <c r="D9" i="2"/>
  <c r="D10" i="2" s="1"/>
  <c r="D23" i="2" s="1"/>
  <c r="D15" i="2"/>
  <c r="D21" i="2"/>
  <c r="D16" i="2"/>
  <c r="D20" i="2"/>
  <c r="B10" i="2"/>
  <c r="B23" i="2" s="1"/>
  <c r="F22" i="1" l="1"/>
  <c r="F24" i="1"/>
</calcChain>
</file>

<file path=xl/sharedStrings.xml><?xml version="1.0" encoding="utf-8"?>
<sst xmlns="http://schemas.openxmlformats.org/spreadsheetml/2006/main" count="39" uniqueCount="37">
  <si>
    <t>ANNUAL REPORT</t>
  </si>
  <si>
    <t>BOSTON MUTUAL LIFE INSURANCE COMPANY</t>
  </si>
  <si>
    <t>BALANCE SHEET</t>
  </si>
  <si>
    <t>Dollars in Thousands</t>
  </si>
  <si>
    <t>YEAR ENDED 12/31</t>
  </si>
  <si>
    <t xml:space="preserve">ASSETS  </t>
  </si>
  <si>
    <t>Bonds</t>
  </si>
  <si>
    <t>Preferred stocks</t>
  </si>
  <si>
    <t>Common stocks</t>
  </si>
  <si>
    <t>Mortgage loans</t>
  </si>
  <si>
    <t>Real estate</t>
  </si>
  <si>
    <t>Policy loans</t>
  </si>
  <si>
    <t>Cash &amp; short term securities</t>
  </si>
  <si>
    <t>Premiums deferred and uncollected</t>
  </si>
  <si>
    <t>Other assets</t>
  </si>
  <si>
    <t>TOTAL ADMITTED ASSETS</t>
  </si>
  <si>
    <t>STATEMENT OF OPERATIONS &amp; SURPLUS</t>
  </si>
  <si>
    <t>INCOME</t>
  </si>
  <si>
    <t xml:space="preserve"> </t>
  </si>
  <si>
    <t xml:space="preserve">Premium income  </t>
  </si>
  <si>
    <t>GAIN FROM OPERATIONS</t>
  </si>
  <si>
    <t>Net investment income</t>
  </si>
  <si>
    <t>Other income</t>
  </si>
  <si>
    <t>TOTAL INCOME</t>
  </si>
  <si>
    <t>POLICYHOLDER BENEFITS AND EXPENSES</t>
  </si>
  <si>
    <t xml:space="preserve">Life insurance benefits </t>
  </si>
  <si>
    <t>Accident &amp; health benefits</t>
  </si>
  <si>
    <t>Other policy benefits</t>
  </si>
  <si>
    <t>Increase in reserves</t>
  </si>
  <si>
    <t xml:space="preserve">Commissions </t>
  </si>
  <si>
    <t>General expenses</t>
  </si>
  <si>
    <t xml:space="preserve">Taxes other than federal income taxes </t>
  </si>
  <si>
    <t xml:space="preserve">Dividends to policyholders </t>
  </si>
  <si>
    <t>TOTAL BENEFITS &amp; EXPENSES</t>
  </si>
  <si>
    <t>ASSETS</t>
  </si>
  <si>
    <t>TOTAL</t>
  </si>
  <si>
    <t>(000)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</si>
</sst>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dd\-mmm\-yy_)"/>
    <numFmt numFmtId="165" formatCode="0_)"/>
    <numFmt numFmtId="166" formatCode="0.00_)"/>
    <numFmt numFmtId="169" formatCode="_(* #,##0_);_(* \(#,##0\);_(* &quot;-&quot;??_);_(@_)"/>
  </numFmts>
  <fonts count="7" x14ac:knownFonts="1">
    <font>
      <sz val="8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/>
    <xf numFmtId="164" fontId="2" fillId="0" borderId="0" xfId="0" applyNumberFormat="1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5" fontId="2" fillId="0" borderId="0" xfId="0" applyNumberFormat="1" applyFont="1" applyProtection="1"/>
    <xf numFmtId="37" fontId="0" fillId="0" borderId="0" xfId="0" applyNumberFormat="1" applyProtection="1"/>
    <xf numFmtId="37" fontId="2" fillId="0" borderId="0" xfId="0" applyNumberFormat="1" applyFont="1" applyProtection="1"/>
    <xf numFmtId="37" fontId="4" fillId="0" borderId="0" xfId="0" applyNumberFormat="1" applyFont="1" applyProtection="1"/>
    <xf numFmtId="5" fontId="5" fillId="0" borderId="0" xfId="0" applyNumberFormat="1" applyFont="1" applyProtection="1"/>
    <xf numFmtId="165" fontId="2" fillId="0" borderId="0" xfId="0" applyNumberFormat="1" applyFont="1" applyProtection="1"/>
    <xf numFmtId="166" fontId="2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/>
    <xf numFmtId="169" fontId="2" fillId="0" borderId="0" xfId="1" applyNumberFormat="1" applyFont="1"/>
    <xf numFmtId="0" fontId="2" fillId="0" borderId="0" xfId="0" applyFont="1" applyAlignment="1">
      <alignment horizontal="center"/>
    </xf>
    <xf numFmtId="37" fontId="4" fillId="0" borderId="0" xfId="0" applyNumberFormat="1" applyFont="1" applyFill="1" applyProtection="1"/>
    <xf numFmtId="5" fontId="5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Protection="1"/>
    <xf numFmtId="37" fontId="5" fillId="0" borderId="0" xfId="0" applyNumberFormat="1" applyFont="1" applyFill="1" applyProtection="1"/>
    <xf numFmtId="0" fontId="6" fillId="0" borderId="1" xfId="0" applyFont="1" applyBorder="1" applyAlignment="1" applyProtection="1">
      <alignment horizontal="center"/>
    </xf>
    <xf numFmtId="5" fontId="2" fillId="0" borderId="0" xfId="0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45"/>
  <sheetViews>
    <sheetView tabSelected="1" defaultGridColor="0" colorId="22" zoomScale="87" workbookViewId="0">
      <selection activeCell="L32" sqref="L32"/>
    </sheetView>
  </sheetViews>
  <sheetFormatPr defaultColWidth="9.83203125" defaultRowHeight="11.25" x14ac:dyDescent="0.2"/>
  <cols>
    <col min="1" max="1" width="39.5" customWidth="1"/>
    <col min="2" max="2" width="14.5" customWidth="1"/>
    <col min="3" max="3" width="13.83203125" customWidth="1"/>
    <col min="4" max="4" width="0" hidden="1" customWidth="1"/>
    <col min="6" max="6" width="1.33203125" hidden="1" customWidth="1"/>
    <col min="16" max="16" width="11.83203125" customWidth="1"/>
  </cols>
  <sheetData>
    <row r="1" spans="1:20" ht="12.75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75" x14ac:dyDescent="0.2">
      <c r="A3" s="3"/>
      <c r="B3" s="3"/>
      <c r="C3" s="1"/>
      <c r="D3" s="3"/>
      <c r="E3" s="4" t="s"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75" x14ac:dyDescent="0.2">
      <c r="A4" s="3"/>
      <c r="B4" s="3"/>
      <c r="C4" s="1"/>
      <c r="D4" s="3"/>
      <c r="E4" s="4" t="s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.75" x14ac:dyDescent="0.2">
      <c r="A5" s="3"/>
      <c r="B5" s="3"/>
      <c r="C5" s="1"/>
      <c r="D5" s="3"/>
      <c r="E5" s="4">
        <v>2016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.75" x14ac:dyDescent="0.2">
      <c r="A7" s="5" t="s">
        <v>2</v>
      </c>
      <c r="B7" s="5"/>
      <c r="C7" s="3"/>
      <c r="D7" s="3"/>
      <c r="E7" s="3"/>
      <c r="F7" s="3"/>
      <c r="G7" s="3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75" x14ac:dyDescent="0.2">
      <c r="A9" s="5" t="s">
        <v>3</v>
      </c>
      <c r="B9" s="5" t="s">
        <v>4</v>
      </c>
      <c r="C9" s="1"/>
      <c r="D9" s="5"/>
      <c r="E9" s="5"/>
      <c r="F9" s="5"/>
      <c r="G9" s="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3"/>
    </row>
    <row r="10" spans="1:20" ht="12.75" x14ac:dyDescent="0.2">
      <c r="A10" s="5" t="s">
        <v>5</v>
      </c>
      <c r="B10" s="5">
        <v>2016</v>
      </c>
      <c r="C10" s="5">
        <v>2015</v>
      </c>
      <c r="D10" s="5">
        <v>1999</v>
      </c>
      <c r="E10" s="5"/>
      <c r="F10" s="5">
        <v>1999</v>
      </c>
      <c r="G10" s="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3"/>
    </row>
    <row r="11" spans="1:20" ht="12.75" x14ac:dyDescent="0.2">
      <c r="A11" s="3"/>
      <c r="B11" s="5"/>
      <c r="C11" s="5"/>
      <c r="D11" s="5"/>
      <c r="E11" s="3"/>
      <c r="F11" s="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.75" x14ac:dyDescent="0.2">
      <c r="A12" s="3" t="s">
        <v>6</v>
      </c>
      <c r="B12" s="6">
        <f>807936461/1000</f>
        <v>807936.46100000001</v>
      </c>
      <c r="C12" s="6">
        <f>781309692/1000</f>
        <v>781309.69200000004</v>
      </c>
      <c r="D12" s="6">
        <f>286122479/1000</f>
        <v>286122.47899999999</v>
      </c>
      <c r="E12" s="3"/>
      <c r="F12" s="6">
        <f>(380641769+13419175+13025)/1000</f>
        <v>394073.96899999998</v>
      </c>
      <c r="G12" s="3"/>
      <c r="H12" s="3"/>
      <c r="I12" s="3"/>
      <c r="J12" s="3"/>
      <c r="K12" s="6"/>
      <c r="L12" s="6"/>
      <c r="M12" s="3"/>
      <c r="N12" s="3"/>
      <c r="O12" s="3"/>
      <c r="P12" s="3"/>
      <c r="Q12" s="6"/>
      <c r="R12" s="6"/>
      <c r="S12" s="3"/>
      <c r="T12" s="3"/>
    </row>
    <row r="13" spans="1:20" ht="12.75" x14ac:dyDescent="0.2">
      <c r="A13" s="3" t="s">
        <v>7</v>
      </c>
      <c r="B13" s="8">
        <v>0</v>
      </c>
      <c r="C13" s="8">
        <v>0</v>
      </c>
      <c r="D13" s="8">
        <f>8023830/1000</f>
        <v>8023.83</v>
      </c>
      <c r="E13" s="3"/>
      <c r="F13" s="8">
        <f>(7908756+8295814)/1000</f>
        <v>16204.57</v>
      </c>
      <c r="G13" s="3"/>
      <c r="H13" s="3"/>
      <c r="I13" s="3"/>
      <c r="J13" s="3"/>
      <c r="K13" s="8"/>
      <c r="L13" s="8"/>
      <c r="M13" s="3"/>
      <c r="N13" s="3"/>
      <c r="O13" s="3"/>
      <c r="P13" s="3"/>
      <c r="Q13" s="8"/>
      <c r="R13" s="8"/>
      <c r="S13" s="3"/>
      <c r="T13" s="3"/>
    </row>
    <row r="14" spans="1:20" ht="12.75" x14ac:dyDescent="0.2">
      <c r="A14" s="3" t="s">
        <v>8</v>
      </c>
      <c r="B14" s="8">
        <f>65125253/1000</f>
        <v>65125.252999999997</v>
      </c>
      <c r="C14" s="8">
        <f>56575677/1000</f>
        <v>56575.677000000003</v>
      </c>
      <c r="D14" s="8">
        <f>17616266/1000</f>
        <v>17616.266</v>
      </c>
      <c r="E14" s="3"/>
      <c r="F14" s="8">
        <f>17962171/1000</f>
        <v>17962.170999999998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8"/>
      <c r="R14" s="8"/>
      <c r="S14" s="3"/>
      <c r="T14" s="3"/>
    </row>
    <row r="15" spans="1:20" ht="12.75" x14ac:dyDescent="0.2">
      <c r="A15" s="3" t="s">
        <v>9</v>
      </c>
      <c r="B15" s="8">
        <f>183154823/1000</f>
        <v>183154.823</v>
      </c>
      <c r="C15" s="8">
        <f>165444244/1000</f>
        <v>165444.24400000001</v>
      </c>
      <c r="D15" s="8">
        <f>108513001/1000</f>
        <v>108513.001</v>
      </c>
      <c r="E15" s="3"/>
      <c r="F15" s="8">
        <f>(39506+939649+1148459+1481184+6281468)/1000</f>
        <v>9890.2659999999996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8"/>
      <c r="R15" s="8"/>
      <c r="S15" s="3"/>
      <c r="T15" s="3"/>
    </row>
    <row r="16" spans="1:20" ht="12.75" x14ac:dyDescent="0.2">
      <c r="A16" s="3" t="s">
        <v>10</v>
      </c>
      <c r="B16" s="8">
        <f>8695186/1000</f>
        <v>8695.1859999999997</v>
      </c>
      <c r="C16" s="8">
        <f>8530783/1000</f>
        <v>8530.7829999999994</v>
      </c>
      <c r="D16" s="8">
        <f>(3026115+1104942)/1000</f>
        <v>4131.0569999999998</v>
      </c>
      <c r="E16" s="3"/>
      <c r="F16" s="8">
        <f>(1600566+1562622+411265+9079+5623854+4108480+148178+6525864)/1000</f>
        <v>19989.907999999999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8"/>
      <c r="R16" s="8"/>
      <c r="S16" s="3"/>
      <c r="T16" s="3"/>
    </row>
    <row r="17" spans="1:20" ht="12.75" x14ac:dyDescent="0.2">
      <c r="A17" s="3" t="s">
        <v>11</v>
      </c>
      <c r="B17" s="8">
        <f>154407159/1000</f>
        <v>154407.15900000001</v>
      </c>
      <c r="C17" s="8">
        <f>148161500/1000</f>
        <v>148161.5</v>
      </c>
      <c r="D17" s="8">
        <f>33958842/1000</f>
        <v>33958.841999999997</v>
      </c>
      <c r="E17" s="3"/>
      <c r="F17" s="8">
        <f>154900/1000</f>
        <v>154.9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8"/>
      <c r="R17" s="8"/>
      <c r="S17" s="3"/>
      <c r="T17" s="3"/>
    </row>
    <row r="18" spans="1:20" ht="12.75" x14ac:dyDescent="0.2">
      <c r="A18" s="3" t="s">
        <v>12</v>
      </c>
      <c r="B18" s="8">
        <f>5769736/1000</f>
        <v>5769.7359999999999</v>
      </c>
      <c r="C18" s="8">
        <f>8112440/1000</f>
        <v>8112.44</v>
      </c>
      <c r="D18" s="8">
        <f>1921769/1000</f>
        <v>1921.769</v>
      </c>
      <c r="E18" s="3"/>
      <c r="F18" s="9">
        <f>5665204/1000</f>
        <v>5665.2039999999997</v>
      </c>
      <c r="G18" s="3"/>
      <c r="H18" s="3"/>
      <c r="I18" s="3"/>
      <c r="J18" s="3"/>
      <c r="K18" s="6"/>
      <c r="L18" s="6"/>
      <c r="M18" s="3"/>
      <c r="N18" s="3"/>
      <c r="O18" s="3"/>
      <c r="P18" s="3"/>
      <c r="Q18" s="8"/>
      <c r="R18" s="8"/>
      <c r="S18" s="3"/>
      <c r="T18" s="3"/>
    </row>
    <row r="19" spans="1:20" ht="12.75" x14ac:dyDescent="0.2">
      <c r="A19" s="3" t="s">
        <v>13</v>
      </c>
      <c r="B19" s="8">
        <f>(5328783+40283579)/1000</f>
        <v>45612.362000000001</v>
      </c>
      <c r="C19" s="8">
        <f>(4549812+40550698)/1000</f>
        <v>45100.51</v>
      </c>
      <c r="D19" s="8">
        <f>(32847114+5072680)/1000</f>
        <v>37919.794000000002</v>
      </c>
      <c r="E19" s="3"/>
      <c r="F19" s="8">
        <f>SUM(F12:F18)</f>
        <v>463940.98800000001</v>
      </c>
      <c r="G19" s="3"/>
      <c r="H19" s="3"/>
      <c r="I19" s="3"/>
      <c r="J19" s="3"/>
      <c r="K19" s="8"/>
      <c r="L19" s="8"/>
      <c r="M19" s="3"/>
      <c r="N19" s="3"/>
      <c r="O19" s="3"/>
      <c r="P19" s="3"/>
      <c r="Q19" s="8"/>
      <c r="R19" s="8"/>
      <c r="S19" s="3"/>
      <c r="T19" s="3"/>
    </row>
    <row r="20" spans="1:20" ht="12.75" x14ac:dyDescent="0.2">
      <c r="A20" s="3" t="s">
        <v>14</v>
      </c>
      <c r="B20" s="17">
        <f>(6550658+16437313+2801104+1566101+1871375+18310447+371849+43708+487859+40570336)/1000+1</f>
        <v>89011.75</v>
      </c>
      <c r="C20" s="17">
        <f>(6562667+16182376+1969439+1615674+1510887+17457675+394547+16771+442537+37701965)/1000-2</f>
        <v>83852.538</v>
      </c>
      <c r="D20" s="9">
        <f>(2954633+1148039+2154890+2339240+32404+149784+589971+5717533+38302+2004709)/1000</f>
        <v>17129.505000000001</v>
      </c>
      <c r="E20" s="3"/>
      <c r="F20" s="9">
        <f>51395555/1000</f>
        <v>51395.555</v>
      </c>
      <c r="G20" s="3"/>
      <c r="H20" s="3"/>
      <c r="I20" s="3"/>
      <c r="J20" s="3"/>
      <c r="K20" s="8"/>
      <c r="L20" s="8"/>
      <c r="M20" s="3"/>
      <c r="N20" s="3"/>
      <c r="O20" s="3"/>
      <c r="P20" s="3"/>
      <c r="Q20" s="8"/>
      <c r="R20" s="8"/>
      <c r="S20" s="3"/>
      <c r="T20" s="3"/>
    </row>
    <row r="21" spans="1:20" ht="12.75" x14ac:dyDescent="0.2">
      <c r="A21" s="3"/>
      <c r="B21" s="5"/>
      <c r="C21" s="5"/>
      <c r="D21" s="5"/>
      <c r="E21" s="3"/>
      <c r="F21" s="8"/>
      <c r="G21" s="3"/>
      <c r="H21" s="3"/>
      <c r="I21" s="3"/>
      <c r="J21" s="3"/>
      <c r="K21" s="8"/>
      <c r="L21" s="8"/>
      <c r="M21" s="3"/>
      <c r="N21" s="3"/>
      <c r="O21" s="3"/>
      <c r="P21" s="3"/>
      <c r="Q21" s="8"/>
      <c r="R21" s="8"/>
      <c r="S21" s="3"/>
      <c r="T21" s="3"/>
    </row>
    <row r="22" spans="1:20" ht="12.75" x14ac:dyDescent="0.2">
      <c r="A22" s="3" t="s">
        <v>15</v>
      </c>
      <c r="B22" s="18">
        <f>SUM(B12:B21)-1</f>
        <v>1359711.73</v>
      </c>
      <c r="C22" s="18">
        <v>1297089</v>
      </c>
      <c r="D22" s="10">
        <f>SUM(D12:D20)</f>
        <v>515336.54299999995</v>
      </c>
      <c r="E22" s="3"/>
      <c r="F22" s="10">
        <f>F19+F20</f>
        <v>515336.54300000001</v>
      </c>
      <c r="G22" s="3"/>
      <c r="H22" s="3"/>
      <c r="I22" s="3"/>
      <c r="J22" s="3"/>
      <c r="K22" s="8"/>
      <c r="L22" s="8"/>
      <c r="M22" s="3"/>
      <c r="N22" s="3"/>
      <c r="O22" s="3"/>
      <c r="P22" s="3"/>
      <c r="Q22" s="11"/>
      <c r="R22" s="8"/>
      <c r="S22" s="3"/>
      <c r="T22" s="3"/>
    </row>
    <row r="23" spans="1:20" ht="12.75" x14ac:dyDescent="0.2">
      <c r="A23" s="3"/>
      <c r="B23" s="3"/>
      <c r="C23" s="3"/>
      <c r="D23" s="3"/>
      <c r="E23" s="3"/>
      <c r="F23" s="1"/>
      <c r="G23" s="3"/>
      <c r="H23" s="3"/>
      <c r="I23" s="3"/>
      <c r="J23" s="3"/>
      <c r="K23" s="8"/>
      <c r="L23" s="8"/>
      <c r="M23" s="3"/>
      <c r="N23" s="3"/>
      <c r="O23" s="3"/>
      <c r="P23" s="3"/>
      <c r="Q23" s="8"/>
      <c r="R23" s="8"/>
      <c r="S23" s="3"/>
      <c r="T23" s="3"/>
    </row>
    <row r="24" spans="1:20" ht="12.75" hidden="1" x14ac:dyDescent="0.2">
      <c r="A24" s="3"/>
      <c r="B24" s="3"/>
      <c r="C24" s="6"/>
      <c r="D24" s="3"/>
      <c r="E24" s="3"/>
      <c r="F24" s="12">
        <f>F20/F19*100</f>
        <v>11.078037148983267</v>
      </c>
      <c r="G24" s="3"/>
      <c r="H24" s="3"/>
      <c r="I24" s="3"/>
      <c r="J24" s="3"/>
      <c r="K24" s="8"/>
      <c r="L24" s="8"/>
      <c r="M24" s="3"/>
      <c r="N24" s="3"/>
      <c r="O24" s="3"/>
      <c r="P24" s="3"/>
      <c r="Q24" s="11"/>
      <c r="R24" s="8"/>
      <c r="S24" s="3"/>
      <c r="T24" s="3"/>
    </row>
    <row r="25" spans="1:20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1"/>
      <c r="R25" s="8"/>
      <c r="S25" s="3"/>
      <c r="T25" s="3"/>
    </row>
    <row r="26" spans="1:20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1"/>
      <c r="R26" s="8"/>
      <c r="S26" s="3"/>
      <c r="T26" s="3"/>
    </row>
    <row r="27" spans="1:20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/>
      <c r="R27" s="6"/>
      <c r="S27" s="3"/>
      <c r="T27" s="3"/>
    </row>
    <row r="28" spans="1:20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6"/>
      <c r="L28" s="6"/>
      <c r="M28" s="3"/>
      <c r="N28" s="3"/>
      <c r="O28" s="3"/>
      <c r="P28" s="3"/>
      <c r="Q28" s="11"/>
      <c r="R28" s="3"/>
      <c r="S28" s="3"/>
      <c r="T28" s="3"/>
    </row>
    <row r="29" spans="1:20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</sheetData>
  <phoneticPr fontId="0" type="noConversion"/>
  <pageMargins left="0.5" right="0.5" top="0.5" bottom="0.5" header="0.5" footer="0.5"/>
  <pageSetup orientation="landscape" r:id="rId1"/>
  <headerFooter alignWithMargins="0">
    <oddHeader>&amp;L&amp;D</oddHeader>
    <oddFooter>&amp;L^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G39"/>
  <sheetViews>
    <sheetView defaultGridColor="0" colorId="22" zoomScale="87" workbookViewId="0">
      <selection activeCell="F1" sqref="F1:L65536"/>
    </sheetView>
  </sheetViews>
  <sheetFormatPr defaultColWidth="9.83203125" defaultRowHeight="11.25" x14ac:dyDescent="0.2"/>
  <cols>
    <col min="1" max="1" width="42" customWidth="1"/>
    <col min="2" max="2" width="14" customWidth="1"/>
    <col min="3" max="3" width="12.6640625" customWidth="1"/>
    <col min="4" max="4" width="0" hidden="1" customWidth="1"/>
  </cols>
  <sheetData>
    <row r="2" spans="1:7" ht="12.75" x14ac:dyDescent="0.2">
      <c r="A2" s="5" t="s">
        <v>16</v>
      </c>
      <c r="B2" s="5"/>
      <c r="C2" s="3"/>
      <c r="D2" s="3"/>
      <c r="E2" s="3"/>
      <c r="F2" s="3"/>
      <c r="G2" s="3"/>
    </row>
    <row r="3" spans="1:7" ht="12.75" x14ac:dyDescent="0.2">
      <c r="A3" s="3"/>
      <c r="B3" s="3"/>
      <c r="C3" s="3"/>
      <c r="D3" s="3"/>
      <c r="E3" s="3"/>
      <c r="F3" s="3"/>
      <c r="G3" s="3"/>
    </row>
    <row r="4" spans="1:7" ht="12.75" x14ac:dyDescent="0.2">
      <c r="A4" s="5" t="s">
        <v>3</v>
      </c>
      <c r="B4" s="5" t="s">
        <v>4</v>
      </c>
      <c r="C4" s="1"/>
      <c r="D4" s="5"/>
      <c r="E4" s="5"/>
      <c r="F4" s="3"/>
      <c r="G4" s="3"/>
    </row>
    <row r="5" spans="1:7" ht="12.75" x14ac:dyDescent="0.2">
      <c r="A5" s="5" t="s">
        <v>17</v>
      </c>
      <c r="B5" s="13">
        <v>2016</v>
      </c>
      <c r="C5" s="13">
        <v>2015</v>
      </c>
      <c r="D5" s="13">
        <v>1999</v>
      </c>
      <c r="E5" s="5"/>
      <c r="F5" s="3"/>
      <c r="G5" s="3"/>
    </row>
    <row r="6" spans="1:7" ht="12.75" x14ac:dyDescent="0.2">
      <c r="A6" s="3" t="s">
        <v>18</v>
      </c>
      <c r="B6" s="5"/>
      <c r="C6" s="5"/>
      <c r="D6" s="5"/>
      <c r="E6" s="3"/>
      <c r="F6" s="3"/>
      <c r="G6" s="3"/>
    </row>
    <row r="7" spans="1:7" ht="12.75" x14ac:dyDescent="0.2">
      <c r="A7" s="3" t="s">
        <v>19</v>
      </c>
      <c r="B7" s="23">
        <f>188077323/1000</f>
        <v>188077.323</v>
      </c>
      <c r="C7" s="23">
        <f>185691660/1000</f>
        <v>185691.66</v>
      </c>
      <c r="D7" s="23">
        <f>159193093/1000</f>
        <v>159193.09299999999</v>
      </c>
      <c r="E7" s="20"/>
      <c r="F7" s="3"/>
      <c r="G7" s="3"/>
    </row>
    <row r="8" spans="1:7" ht="12.75" x14ac:dyDescent="0.2">
      <c r="A8" s="3" t="s">
        <v>21</v>
      </c>
      <c r="B8" s="19">
        <f>55649845/1000</f>
        <v>55649.845000000001</v>
      </c>
      <c r="C8" s="19">
        <f>54567554/1000</f>
        <v>54567.553999999996</v>
      </c>
      <c r="D8" s="19">
        <f>31361294/1000</f>
        <v>31361.294000000002</v>
      </c>
      <c r="E8" s="20"/>
      <c r="F8" s="3"/>
      <c r="G8" s="3"/>
    </row>
    <row r="9" spans="1:7" ht="12.75" x14ac:dyDescent="0.2">
      <c r="A9" s="3" t="s">
        <v>22</v>
      </c>
      <c r="B9" s="17">
        <f>(512728+11808753+390219+308361)/1000</f>
        <v>13020.061</v>
      </c>
      <c r="C9" s="17">
        <f>(353086+11544981+233719+771919)/1000-0.4</f>
        <v>12903.305</v>
      </c>
      <c r="D9" s="17">
        <f>(-306008+949697+244172+21796440+144135+360721)/1000+0.4</f>
        <v>23189.557000000001</v>
      </c>
      <c r="E9" s="20"/>
      <c r="F9" s="3"/>
      <c r="G9" s="3"/>
    </row>
    <row r="10" spans="1:7" ht="12.75" x14ac:dyDescent="0.2">
      <c r="A10" s="3" t="s">
        <v>23</v>
      </c>
      <c r="B10" s="21">
        <f>SUM(B7:B9)</f>
        <v>256747.22899999999</v>
      </c>
      <c r="C10" s="21">
        <f>SUM(C7:C9)</f>
        <v>253162.519</v>
      </c>
      <c r="D10" s="18">
        <f>SUM(D7:D9)</f>
        <v>213743.94399999999</v>
      </c>
      <c r="E10" s="20"/>
      <c r="F10" s="3"/>
      <c r="G10" s="3"/>
    </row>
    <row r="11" spans="1:7" ht="12.75" x14ac:dyDescent="0.2">
      <c r="A11" s="3"/>
      <c r="B11" s="18"/>
      <c r="C11" s="18"/>
      <c r="D11" s="18"/>
      <c r="E11" s="20"/>
      <c r="F11" s="3"/>
      <c r="G11" s="3"/>
    </row>
    <row r="12" spans="1:7" ht="12.75" x14ac:dyDescent="0.2">
      <c r="A12" s="3" t="s">
        <v>24</v>
      </c>
      <c r="B12" s="19"/>
      <c r="C12" s="19"/>
      <c r="D12" s="19"/>
      <c r="E12" s="20"/>
      <c r="F12" s="3"/>
      <c r="G12" s="8"/>
    </row>
    <row r="13" spans="1:7" ht="12.75" x14ac:dyDescent="0.2">
      <c r="A13" s="3" t="s">
        <v>25</v>
      </c>
      <c r="B13" s="19">
        <f>66072065/1000</f>
        <v>66072.065000000002</v>
      </c>
      <c r="C13" s="19">
        <f>67383390/1000</f>
        <v>67383.39</v>
      </c>
      <c r="D13" s="19">
        <v>45318</v>
      </c>
      <c r="E13" s="20"/>
      <c r="F13" s="3"/>
      <c r="G13" s="3"/>
    </row>
    <row r="14" spans="1:7" ht="12.75" x14ac:dyDescent="0.2">
      <c r="A14" s="3" t="s">
        <v>26</v>
      </c>
      <c r="B14" s="19">
        <f>15475475/1000</f>
        <v>15475.475</v>
      </c>
      <c r="C14" s="19">
        <f>15005823/1000</f>
        <v>15005.823</v>
      </c>
      <c r="D14" s="19">
        <v>34506</v>
      </c>
      <c r="E14" s="20"/>
      <c r="F14" s="3"/>
      <c r="G14" s="3"/>
    </row>
    <row r="15" spans="1:7" ht="12.75" x14ac:dyDescent="0.2">
      <c r="A15" s="3" t="s">
        <v>27</v>
      </c>
      <c r="B15" s="19">
        <f>(203784+2559+33972106+863763+9501)/1000-1</f>
        <v>35050.713000000003</v>
      </c>
      <c r="C15" s="19">
        <f>(274322+2689+35050553+959611+13067)/1000</f>
        <v>36300.241999999998</v>
      </c>
      <c r="D15" s="19">
        <f>(337816+8949+14204671+588597+1582628+498985)/1000</f>
        <v>17221.646000000001</v>
      </c>
      <c r="E15" s="20"/>
      <c r="F15" s="3"/>
      <c r="G15" s="3"/>
    </row>
    <row r="16" spans="1:7" ht="12.75" x14ac:dyDescent="0.2">
      <c r="A16" s="3" t="s">
        <v>28</v>
      </c>
      <c r="B16" s="19">
        <f>(35691238+828473+221871)/1000</f>
        <v>36741.582000000002</v>
      </c>
      <c r="C16" s="19">
        <f>(31304158-1209053+185243)/1000+0.2</f>
        <v>30280.548000000003</v>
      </c>
      <c r="D16" s="19">
        <f>(31994388-314174+198424+2123724-84986)/1000-1</f>
        <v>33916.375999999997</v>
      </c>
      <c r="E16" s="20"/>
      <c r="F16" s="3"/>
      <c r="G16" s="3"/>
    </row>
    <row r="17" spans="1:7" ht="12.75" x14ac:dyDescent="0.2">
      <c r="A17" s="3" t="s">
        <v>29</v>
      </c>
      <c r="B17" s="19">
        <f>34124987/1000</f>
        <v>34124.987000000001</v>
      </c>
      <c r="C17" s="19">
        <f>34071383/1000-0.2</f>
        <v>34071.183000000005</v>
      </c>
      <c r="D17" s="19">
        <v>40593</v>
      </c>
      <c r="E17" s="20"/>
      <c r="F17" s="3"/>
      <c r="G17" s="3"/>
    </row>
    <row r="18" spans="1:7" ht="12.75" x14ac:dyDescent="0.2">
      <c r="A18" s="3" t="s">
        <v>30</v>
      </c>
      <c r="B18" s="19">
        <f>43537557/1000</f>
        <v>43537.557000000001</v>
      </c>
      <c r="C18" s="19">
        <f>43573219/1000</f>
        <v>43573.218999999997</v>
      </c>
      <c r="D18" s="19">
        <v>25054</v>
      </c>
      <c r="E18" s="20"/>
      <c r="F18" s="3"/>
      <c r="G18" s="3"/>
    </row>
    <row r="19" spans="1:7" ht="12.75" x14ac:dyDescent="0.2">
      <c r="A19" s="3" t="s">
        <v>31</v>
      </c>
      <c r="B19" s="19">
        <f>7318339/1000</f>
        <v>7318.3389999999999</v>
      </c>
      <c r="C19" s="19">
        <f>7311628/1000</f>
        <v>7311.6279999999997</v>
      </c>
      <c r="D19" s="19">
        <v>6566</v>
      </c>
      <c r="E19" s="20"/>
      <c r="F19" s="3"/>
      <c r="G19" s="3"/>
    </row>
    <row r="20" spans="1:7" ht="12.75" x14ac:dyDescent="0.2">
      <c r="A20" s="3" t="s">
        <v>32</v>
      </c>
      <c r="B20" s="17">
        <f>1521743/1000</f>
        <v>1521.7429999999999</v>
      </c>
      <c r="C20" s="17">
        <f>1488334/1000</f>
        <v>1488.3340000000001</v>
      </c>
      <c r="D20" s="17">
        <f>2165811/1000</f>
        <v>2165.8110000000001</v>
      </c>
      <c r="E20" s="20"/>
      <c r="F20" s="3"/>
      <c r="G20" s="3"/>
    </row>
    <row r="21" spans="1:7" ht="12.75" x14ac:dyDescent="0.2">
      <c r="A21" s="3" t="s">
        <v>33</v>
      </c>
      <c r="B21" s="21">
        <f>SUM(B13:B20)+1</f>
        <v>239843.46100000001</v>
      </c>
      <c r="C21" s="21">
        <f>SUM(C13:C20)</f>
        <v>235414.36699999997</v>
      </c>
      <c r="D21" s="18">
        <f>SUM(D13:D20)</f>
        <v>205340.83299999998</v>
      </c>
      <c r="E21" s="20"/>
      <c r="F21" s="3"/>
      <c r="G21" s="3"/>
    </row>
    <row r="22" spans="1:7" ht="12.75" x14ac:dyDescent="0.2">
      <c r="A22" s="3"/>
      <c r="B22" s="19"/>
      <c r="C22" s="19"/>
      <c r="D22" s="19"/>
      <c r="E22" s="20"/>
      <c r="F22" s="3"/>
      <c r="G22" s="3"/>
    </row>
    <row r="23" spans="1:7" ht="12.75" x14ac:dyDescent="0.2">
      <c r="A23" s="3" t="s">
        <v>20</v>
      </c>
      <c r="B23" s="18">
        <f>+B10-B21</f>
        <v>16903.767999999982</v>
      </c>
      <c r="C23" s="18">
        <v>17749</v>
      </c>
      <c r="D23" s="18">
        <f>D10-D21</f>
        <v>8403.1110000000044</v>
      </c>
      <c r="E23" s="20"/>
      <c r="F23" s="3"/>
      <c r="G23" s="3"/>
    </row>
    <row r="24" spans="1:7" ht="12.75" x14ac:dyDescent="0.2">
      <c r="A24" s="3"/>
      <c r="B24" s="20"/>
      <c r="C24" s="20"/>
      <c r="D24" s="19"/>
      <c r="E24" s="20"/>
      <c r="F24" s="3"/>
      <c r="G24" s="3"/>
    </row>
    <row r="25" spans="1:7" ht="12.75" x14ac:dyDescent="0.2">
      <c r="A25" s="3"/>
      <c r="B25" s="20"/>
      <c r="C25" s="20"/>
      <c r="D25" s="20"/>
      <c r="E25" s="20"/>
      <c r="F25" s="3"/>
      <c r="G25" s="3"/>
    </row>
    <row r="26" spans="1:7" ht="12.75" x14ac:dyDescent="0.2">
      <c r="A26" s="3"/>
      <c r="B26" s="3"/>
      <c r="C26" s="3"/>
      <c r="D26" s="3"/>
      <c r="E26" s="3"/>
      <c r="F26" s="3"/>
      <c r="G26" s="3"/>
    </row>
    <row r="27" spans="1:7" ht="12.75" x14ac:dyDescent="0.2">
      <c r="A27" s="3"/>
      <c r="B27" s="3"/>
      <c r="C27" s="3"/>
      <c r="D27" s="3"/>
      <c r="E27" s="3"/>
      <c r="F27" s="3"/>
      <c r="G27" s="3"/>
    </row>
    <row r="28" spans="1:7" ht="12.75" x14ac:dyDescent="0.2">
      <c r="A28" s="3"/>
      <c r="B28" s="3"/>
      <c r="C28" s="3"/>
      <c r="D28" s="3"/>
      <c r="E28" s="3"/>
      <c r="F28" s="3"/>
      <c r="G28" s="3"/>
    </row>
    <row r="29" spans="1:7" ht="12.75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1"/>
      <c r="B30" s="1"/>
      <c r="C30" s="1"/>
      <c r="D30" s="1"/>
      <c r="E30" s="1"/>
    </row>
    <row r="31" spans="1:7" x14ac:dyDescent="0.2">
      <c r="A31" s="1"/>
      <c r="B31" s="1"/>
      <c r="C31" s="7"/>
      <c r="D31" s="1"/>
      <c r="E31" s="1"/>
    </row>
    <row r="32" spans="1:7" x14ac:dyDescent="0.2">
      <c r="A32" s="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7"/>
      <c r="D35" s="1"/>
      <c r="E35" s="1"/>
    </row>
    <row r="36" spans="1:5" x14ac:dyDescent="0.2">
      <c r="A36" s="1"/>
      <c r="B36" s="1"/>
      <c r="C36" s="7"/>
      <c r="D36" s="1"/>
      <c r="E36" s="1"/>
    </row>
    <row r="37" spans="1:5" x14ac:dyDescent="0.2">
      <c r="A37" s="1"/>
      <c r="B37" s="1"/>
      <c r="C37" s="7"/>
      <c r="D37" s="1"/>
      <c r="E37" s="1"/>
    </row>
    <row r="38" spans="1:5" x14ac:dyDescent="0.2">
      <c r="A38" s="1"/>
      <c r="B38" s="1"/>
      <c r="C38" s="7"/>
      <c r="D38" s="1"/>
      <c r="E38" s="1"/>
    </row>
    <row r="39" spans="1:5" x14ac:dyDescent="0.2">
      <c r="A39" s="1"/>
      <c r="B39" s="1"/>
      <c r="C39" s="7"/>
    </row>
  </sheetData>
  <phoneticPr fontId="0" type="noConversion"/>
  <pageMargins left="0.5" right="0.5" top="0.5" bottom="0.5" header="0.5" footer="0.5"/>
  <pageSetup orientation="landscape" r:id="rId1"/>
  <headerFooter alignWithMargins="0">
    <oddHeader>&amp;L&amp;D</oddHeader>
    <oddFooter>&amp;L^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8"/>
  <sheetViews>
    <sheetView defaultGridColor="0" colorId="22" zoomScale="87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32" sqref="C32"/>
    </sheetView>
  </sheetViews>
  <sheetFormatPr defaultColWidth="13" defaultRowHeight="12.75" x14ac:dyDescent="0.2"/>
  <cols>
    <col min="1" max="1" width="13" style="14" customWidth="1"/>
    <col min="2" max="2" width="17" style="14" customWidth="1"/>
    <col min="3" max="16384" width="13" style="14"/>
  </cols>
  <sheetData>
    <row r="1" spans="1:7" x14ac:dyDescent="0.2">
      <c r="A1" s="3"/>
      <c r="B1" s="3"/>
      <c r="C1" s="3"/>
      <c r="D1" s="3"/>
      <c r="E1" s="3"/>
      <c r="F1" s="3"/>
      <c r="G1" s="3"/>
    </row>
    <row r="2" spans="1:7" x14ac:dyDescent="0.2">
      <c r="A2" s="3"/>
      <c r="B2" s="3"/>
      <c r="C2" s="3"/>
      <c r="D2" s="3"/>
      <c r="E2" s="3"/>
      <c r="F2" s="3"/>
      <c r="G2" s="3"/>
    </row>
    <row r="3" spans="1:7" x14ac:dyDescent="0.2">
      <c r="A3" s="3"/>
      <c r="B3" s="3"/>
      <c r="C3" s="3"/>
      <c r="D3" s="3"/>
      <c r="E3" s="3"/>
      <c r="F3" s="3"/>
      <c r="G3" s="3"/>
    </row>
    <row r="4" spans="1:7" x14ac:dyDescent="0.2">
      <c r="A4" s="3"/>
      <c r="C4" s="3"/>
      <c r="D4" s="3"/>
      <c r="E4" s="3"/>
      <c r="F4" s="3"/>
      <c r="G4" s="3"/>
    </row>
    <row r="5" spans="1:7" x14ac:dyDescent="0.2">
      <c r="A5" s="3"/>
      <c r="C5" s="3"/>
      <c r="D5" s="3"/>
      <c r="E5" s="3"/>
      <c r="F5" s="3"/>
      <c r="G5" s="3"/>
    </row>
    <row r="6" spans="1:7" x14ac:dyDescent="0.2">
      <c r="A6" s="3"/>
      <c r="B6" s="4" t="s">
        <v>35</v>
      </c>
      <c r="C6" s="3"/>
      <c r="D6" s="3"/>
      <c r="E6" s="3"/>
      <c r="F6" s="3"/>
      <c r="G6" s="3"/>
    </row>
    <row r="7" spans="1:7" ht="10.5" customHeight="1" x14ac:dyDescent="0.2">
      <c r="A7" s="3"/>
      <c r="B7" s="4" t="s">
        <v>34</v>
      </c>
      <c r="C7" s="3"/>
      <c r="D7" s="3"/>
      <c r="E7" s="3"/>
      <c r="F7" s="3"/>
      <c r="G7" s="3"/>
    </row>
    <row r="8" spans="1:7" x14ac:dyDescent="0.2">
      <c r="A8" s="3"/>
      <c r="B8" s="22" t="s">
        <v>36</v>
      </c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16">
        <v>2012</v>
      </c>
      <c r="B10" s="15">
        <f>1138430655/1000</f>
        <v>1138430.655</v>
      </c>
    </row>
    <row r="11" spans="1:7" x14ac:dyDescent="0.2">
      <c r="A11" s="16">
        <v>2013</v>
      </c>
      <c r="B11" s="15">
        <f>1188767718/1000</f>
        <v>1188767.7180000001</v>
      </c>
    </row>
    <row r="12" spans="1:7" x14ac:dyDescent="0.2">
      <c r="A12" s="16">
        <v>2014</v>
      </c>
      <c r="B12" s="15">
        <f>1245223950/1000</f>
        <v>1245223.95</v>
      </c>
    </row>
    <row r="13" spans="1:7" x14ac:dyDescent="0.2">
      <c r="A13" s="16">
        <v>2015</v>
      </c>
      <c r="B13" s="15">
        <f>1297089383/1000</f>
        <v>1297089.3829999999</v>
      </c>
    </row>
    <row r="14" spans="1:7" x14ac:dyDescent="0.2">
      <c r="A14" s="16">
        <v>2016</v>
      </c>
      <c r="B14" s="15">
        <f>1359711894/1000</f>
        <v>1359711.8940000001</v>
      </c>
    </row>
    <row r="15" spans="1:7" x14ac:dyDescent="0.2">
      <c r="B15" s="15"/>
    </row>
    <row r="16" spans="1:7" x14ac:dyDescent="0.2">
      <c r="B16" s="15"/>
    </row>
    <row r="17" spans="2:2" x14ac:dyDescent="0.2">
      <c r="B17" s="15"/>
    </row>
    <row r="18" spans="2:2" x14ac:dyDescent="0.2">
      <c r="B18" s="15"/>
    </row>
    <row r="19" spans="2:2" x14ac:dyDescent="0.2">
      <c r="B19" s="15"/>
    </row>
    <row r="20" spans="2:2" x14ac:dyDescent="0.2">
      <c r="B20" s="15"/>
    </row>
    <row r="21" spans="2:2" x14ac:dyDescent="0.2">
      <c r="B21" s="15"/>
    </row>
    <row r="22" spans="2:2" x14ac:dyDescent="0.2">
      <c r="B22" s="15"/>
    </row>
    <row r="23" spans="2:2" x14ac:dyDescent="0.2">
      <c r="B23" s="15"/>
    </row>
    <row r="24" spans="2:2" x14ac:dyDescent="0.2">
      <c r="B24" s="15"/>
    </row>
    <row r="25" spans="2:2" x14ac:dyDescent="0.2">
      <c r="B25" s="15"/>
    </row>
    <row r="26" spans="2:2" x14ac:dyDescent="0.2">
      <c r="B26" s="15"/>
    </row>
    <row r="27" spans="2:2" x14ac:dyDescent="0.2">
      <c r="B27" s="15"/>
    </row>
    <row r="28" spans="2:2" x14ac:dyDescent="0.2">
      <c r="B28" s="15"/>
    </row>
  </sheetData>
  <phoneticPr fontId="0" type="noConversion"/>
  <pageMargins left="0.5" right="0.5" top="0.5" bottom="0.5" header="0.5" footer="0.5"/>
  <pageSetup orientation="landscape" r:id="rId1"/>
  <headerFooter alignWithMargins="0">
    <oddHeader>&amp;L&amp;D</oddHeader>
    <oddFooter>&amp;L^</oddFooter>
  </headerFooter>
  <ignoredErrors>
    <ignoredError sqref="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BALANCE SHEET</vt:lpstr>
      <vt:lpstr>INCOME STMT</vt:lpstr>
      <vt:lpstr>GRAPHS</vt:lpstr>
      <vt:lpstr>BALANCE_SHEET</vt:lpstr>
      <vt:lpstr>GRAPHS</vt:lpstr>
      <vt:lpstr>INCOME_STMT</vt:lpstr>
      <vt:lpstr>'BALANCE SHEET'!Print_Area</vt:lpstr>
      <vt:lpstr>GRAPHS!Print_Area</vt:lpstr>
      <vt:lpstr>'INCOME STMT'!Print_Area</vt:lpstr>
      <vt:lpstr>GRAPHS!Print_Area_MI</vt:lpstr>
    </vt:vector>
  </TitlesOfParts>
  <Company>Boston Mutual 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Boston Mutual Life</dc:creator>
  <cp:lastModifiedBy>ptirrell</cp:lastModifiedBy>
  <cp:lastPrinted>2017-02-22T20:23:45Z</cp:lastPrinted>
  <dcterms:created xsi:type="dcterms:W3CDTF">2004-03-01T17:16:34Z</dcterms:created>
  <dcterms:modified xsi:type="dcterms:W3CDTF">2017-02-22T20:25:40Z</dcterms:modified>
</cp:coreProperties>
</file>